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<sst xmlns="http://schemas.openxmlformats.org/spreadsheetml/2006/main" count="707" uniqueCount="236">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</sst>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12" sqref="I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/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231</v>
      </c>
      <c r="N3" s="219" t="s">
        <v>232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228</v>
      </c>
      <c r="F4" s="202" t="s">
        <v>116</v>
      </c>
      <c r="G4" s="204" t="s">
        <v>229</v>
      </c>
      <c r="H4" s="206" t="s">
        <v>230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235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233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117095.99999999999</v>
      </c>
      <c r="F8" s="18">
        <f>F10+F19+F30+F33+F34+F42</f>
        <v>99847.61000000002</v>
      </c>
      <c r="G8" s="18">
        <f aca="true" t="shared" si="0" ref="G8:G42">F8-E8</f>
        <v>-17248.38999999997</v>
      </c>
      <c r="H8" s="45">
        <f>F8/E8*100</f>
        <v>85.26987258317963</v>
      </c>
      <c r="I8" s="31">
        <f aca="true" t="shared" si="1" ref="I8:I42">F8-D8</f>
        <v>-417581.39</v>
      </c>
      <c r="J8" s="31">
        <f aca="true" t="shared" si="2" ref="J8:J14">F8/D8*100</f>
        <v>19.296871648090853</v>
      </c>
      <c r="K8" s="18">
        <f>K10+K19+K30+K33+K34+K42</f>
        <v>-12951.507999999998</v>
      </c>
      <c r="L8" s="18"/>
      <c r="M8" s="18">
        <f>M10+M19+M30+M33+M34+M42</f>
        <v>37988</v>
      </c>
      <c r="N8" s="18">
        <f>N10+N19+N30+N33+N34+N42</f>
        <v>8493.210000000017</v>
      </c>
      <c r="O8" s="31">
        <f aca="true" t="shared" si="3" ref="O8:O45">N8-M8</f>
        <v>-29494.789999999983</v>
      </c>
      <c r="P8" s="31">
        <f>F8/M8*100</f>
        <v>262.8398704854165</v>
      </c>
      <c r="Q8" s="31">
        <f>N8-33748.16</f>
        <v>-25254.949999999986</v>
      </c>
      <c r="R8" s="125">
        <f>N8/33748.16</f>
        <v>0.25166438703621224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55079.66</v>
      </c>
      <c r="G9" s="18">
        <f t="shared" si="0"/>
        <v>55079.66</v>
      </c>
      <c r="H9" s="16"/>
      <c r="I9" s="50">
        <f t="shared" si="1"/>
        <v>-257610.34</v>
      </c>
      <c r="J9" s="50">
        <f t="shared" si="2"/>
        <v>17.614781412900957</v>
      </c>
      <c r="K9" s="50"/>
      <c r="L9" s="50"/>
      <c r="M9" s="16">
        <f>M10+M17</f>
        <v>25121.999999999993</v>
      </c>
      <c r="N9" s="16">
        <f>N10+N17</f>
        <v>5392.1700000000055</v>
      </c>
      <c r="O9" s="31">
        <f t="shared" si="3"/>
        <v>-19729.829999999987</v>
      </c>
      <c r="P9" s="50">
        <f>F9/M9*100</f>
        <v>219.2487063131917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70051.4</v>
      </c>
      <c r="F10" s="143">
        <v>55079.66</v>
      </c>
      <c r="G10" s="43">
        <f t="shared" si="0"/>
        <v>-14971.73999999999</v>
      </c>
      <c r="H10" s="35">
        <f aca="true" t="shared" si="4" ref="H10:H42">F10/E10*100</f>
        <v>78.6274935261822</v>
      </c>
      <c r="I10" s="50">
        <f t="shared" si="1"/>
        <v>-257610.34</v>
      </c>
      <c r="J10" s="50">
        <f t="shared" si="2"/>
        <v>17.614781412900957</v>
      </c>
      <c r="K10" s="132">
        <f>F10-86046.61/75*60</f>
        <v>-13757.627999999997</v>
      </c>
      <c r="L10" s="132">
        <f>F10/(86046.61/75*60)*100</f>
        <v>80.01427947016158</v>
      </c>
      <c r="M10" s="35">
        <f>E10-лютий!E10</f>
        <v>25121.999999999993</v>
      </c>
      <c r="N10" s="35">
        <f>F10-лютий!F10</f>
        <v>5392.1700000000055</v>
      </c>
      <c r="O10" s="47">
        <f t="shared" si="3"/>
        <v>-19729.829999999987</v>
      </c>
      <c r="P10" s="50">
        <f aca="true" t="shared" si="5" ref="P10:P42">N10/M10*100</f>
        <v>21.463935992357325</v>
      </c>
      <c r="Q10" s="132">
        <f>N10-26568.11</f>
        <v>-21175.939999999995</v>
      </c>
      <c r="R10" s="133">
        <f>N10/26568.11</f>
        <v>0.20295647676857728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-661.28</v>
      </c>
      <c r="G19" s="43">
        <f t="shared" si="0"/>
        <v>-832.48</v>
      </c>
      <c r="H19" s="35"/>
      <c r="I19" s="50">
        <f t="shared" si="1"/>
        <v>-1161.28</v>
      </c>
      <c r="J19" s="50">
        <f aca="true" t="shared" si="6" ref="J19:J30">F19/D19*100</f>
        <v>-132.256</v>
      </c>
      <c r="K19" s="50">
        <f>F19-815.68</f>
        <v>-1476.96</v>
      </c>
      <c r="L19" s="50">
        <f>F19/815.68*100</f>
        <v>-81.07100823852491</v>
      </c>
      <c r="M19" s="35">
        <f>E19-лютий!E19</f>
        <v>171.2</v>
      </c>
      <c r="N19" s="35">
        <f>F19-лютий!F19</f>
        <v>315.20000000000005</v>
      </c>
      <c r="O19" s="47">
        <f t="shared" si="3"/>
        <v>144.00000000000006</v>
      </c>
      <c r="P19" s="50"/>
      <c r="Q19" s="50">
        <f>N19-358.81</f>
        <v>-43.60999999999996</v>
      </c>
      <c r="R19" s="126">
        <f>N19/358.81</f>
        <v>0.8784593517460496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F29-751.16</f>
        <v>-1653.55</v>
      </c>
      <c r="L29" s="136">
        <f>F29/751.16*100</f>
        <v>-120.13286117471644</v>
      </c>
      <c r="M29" s="35">
        <f>E29-лютий!E29</f>
        <v>0</v>
      </c>
      <c r="N29" s="35">
        <f>F29-лютий!F29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5440</v>
      </c>
      <c r="F33" s="168">
        <v>4754.5</v>
      </c>
      <c r="G33" s="43">
        <f t="shared" si="0"/>
        <v>-685.5</v>
      </c>
      <c r="H33" s="35">
        <f t="shared" si="4"/>
        <v>87.39889705882354</v>
      </c>
      <c r="I33" s="50">
        <f t="shared" si="1"/>
        <v>-25195.5</v>
      </c>
      <c r="J33" s="178">
        <f>F33/D33*100</f>
        <v>15.874791318864775</v>
      </c>
      <c r="K33" s="179">
        <f>F33-0</f>
        <v>4754.5</v>
      </c>
      <c r="L33" s="180"/>
      <c r="M33" s="35">
        <f>E33-лютий!E33</f>
        <v>2720</v>
      </c>
      <c r="N33" s="35">
        <f>F33-лютий!F33</f>
        <v>1229.38</v>
      </c>
      <c r="O33" s="47">
        <f t="shared" si="3"/>
        <v>-1490.62</v>
      </c>
      <c r="P33" s="50">
        <f t="shared" si="5"/>
        <v>45.197794117647064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39435</v>
      </c>
      <c r="F34" s="169">
        <f>F35+F39+F41+F40</f>
        <v>38659.68000000001</v>
      </c>
      <c r="G34" s="43">
        <f t="shared" si="0"/>
        <v>-775.3199999999924</v>
      </c>
      <c r="H34" s="35">
        <f t="shared" si="4"/>
        <v>98.03392925066568</v>
      </c>
      <c r="I34" s="50">
        <f t="shared" si="1"/>
        <v>-128110.31999999999</v>
      </c>
      <c r="J34" s="178">
        <f aca="true" t="shared" si="11" ref="J34:J42">F34/D34*100</f>
        <v>23.181435509983814</v>
      </c>
      <c r="K34" s="178">
        <f>K35+K39+K40+K41</f>
        <v>-1879.8100000000004</v>
      </c>
      <c r="L34" s="136"/>
      <c r="M34" s="35">
        <f>E34-лютий!E34</f>
        <v>9974.5</v>
      </c>
      <c r="N34" s="35">
        <f>F34-лютий!F34</f>
        <v>1556.4500000000116</v>
      </c>
      <c r="O34" s="47">
        <f t="shared" si="3"/>
        <v>-8418.049999999988</v>
      </c>
      <c r="P34" s="50">
        <f t="shared" si="5"/>
        <v>15.604290941901965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16421.71</v>
      </c>
      <c r="G35" s="43">
        <f t="shared" si="0"/>
        <v>-4965.290000000001</v>
      </c>
      <c r="H35" s="35">
        <f t="shared" si="4"/>
        <v>76.78360686398278</v>
      </c>
      <c r="I35" s="50">
        <f t="shared" si="1"/>
        <v>-81778.29000000001</v>
      </c>
      <c r="J35" s="178">
        <f t="shared" si="11"/>
        <v>16.72271894093686</v>
      </c>
      <c r="K35" s="178">
        <f>K36+K37+K38</f>
        <v>-2769.03</v>
      </c>
      <c r="L35" s="136"/>
      <c r="M35" s="35">
        <f>E35-лютий!E35</f>
        <v>7632.5</v>
      </c>
      <c r="N35" s="35">
        <f>F35-лютий!F35</f>
        <v>1154.9199999999983</v>
      </c>
      <c r="O35" s="47">
        <f t="shared" si="3"/>
        <v>-6477.580000000002</v>
      </c>
      <c r="P35" s="50">
        <f t="shared" si="5"/>
        <v>15.131608254176196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370.41</v>
      </c>
      <c r="G36" s="135">
        <f t="shared" si="0"/>
        <v>260.41</v>
      </c>
      <c r="H36" s="137">
        <f t="shared" si="4"/>
        <v>336.73636363636365</v>
      </c>
      <c r="I36" s="136">
        <f t="shared" si="1"/>
        <v>-629.5899999999999</v>
      </c>
      <c r="J36" s="136">
        <f t="shared" si="11"/>
        <v>37.041000000000004</v>
      </c>
      <c r="K36" s="136">
        <f>F36-101.47</f>
        <v>268.94000000000005</v>
      </c>
      <c r="L36" s="136">
        <f>F36/101.47*100</f>
        <v>365.04385532669755</v>
      </c>
      <c r="M36" s="35">
        <f>E36-лютий!E36</f>
        <v>5.5</v>
      </c>
      <c r="N36" s="35">
        <f>F36-лютий!F36</f>
        <v>64.40000000000003</v>
      </c>
      <c r="O36" s="47">
        <f t="shared" si="3"/>
        <v>58.900000000000034</v>
      </c>
      <c r="P36" s="50">
        <f t="shared" si="5"/>
        <v>1170.9090909090917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6.45</v>
      </c>
      <c r="G37" s="135">
        <f t="shared" si="0"/>
        <v>6.45</v>
      </c>
      <c r="H37" s="137"/>
      <c r="I37" s="136">
        <f t="shared" si="1"/>
        <v>-1493.55</v>
      </c>
      <c r="J37" s="136">
        <f t="shared" si="11"/>
        <v>0.43</v>
      </c>
      <c r="K37" s="136">
        <f>F37-0</f>
        <v>6.45</v>
      </c>
      <c r="L37" s="136"/>
      <c r="M37" s="35">
        <f>E37-лютий!E37</f>
        <v>0</v>
      </c>
      <c r="N37" s="35">
        <f>F37-лютий!F37</f>
        <v>0.20000000000000018</v>
      </c>
      <c r="O37" s="47">
        <f t="shared" si="3"/>
        <v>0.20000000000000018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16044.85</v>
      </c>
      <c r="G38" s="135">
        <f t="shared" si="0"/>
        <v>-5232.15</v>
      </c>
      <c r="H38" s="137">
        <f t="shared" si="4"/>
        <v>75.40936222211778</v>
      </c>
      <c r="I38" s="136">
        <f t="shared" si="1"/>
        <v>-79655.15</v>
      </c>
      <c r="J38" s="136">
        <f t="shared" si="11"/>
        <v>16.765778474399166</v>
      </c>
      <c r="K38" s="139">
        <f>F38-19089.27</f>
        <v>-3044.42</v>
      </c>
      <c r="L38" s="139">
        <f>F38/19089.27*100</f>
        <v>84.05166881708939</v>
      </c>
      <c r="M38" s="35">
        <f>E38-лютий!E38</f>
        <v>7627</v>
      </c>
      <c r="N38" s="35">
        <f>F38-лютий!F38</f>
        <v>1090.3199999999997</v>
      </c>
      <c r="O38" s="47">
        <f t="shared" si="3"/>
        <v>-6536.68</v>
      </c>
      <c r="P38" s="50">
        <f t="shared" si="5"/>
        <v>14.295529041562865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14.22</v>
      </c>
      <c r="G39" s="43">
        <f t="shared" si="0"/>
        <v>6.220000000000001</v>
      </c>
      <c r="H39" s="35">
        <f t="shared" si="4"/>
        <v>177.75</v>
      </c>
      <c r="I39" s="50">
        <f t="shared" si="1"/>
        <v>-55.78</v>
      </c>
      <c r="J39" s="178">
        <f t="shared" si="11"/>
        <v>20.314285714285717</v>
      </c>
      <c r="K39" s="178">
        <f>F39-19.65</f>
        <v>-5.429999999999998</v>
      </c>
      <c r="L39" s="178">
        <f>F39/19.65*100</f>
        <v>72.36641221374047</v>
      </c>
      <c r="M39" s="35">
        <f>E39-лютий!E39</f>
        <v>2</v>
      </c>
      <c r="N39" s="35">
        <f>F39-лютий!F39</f>
        <v>0</v>
      </c>
      <c r="O39" s="47">
        <f t="shared" si="3"/>
        <v>-2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82.8</v>
      </c>
      <c r="G40" s="43">
        <f t="shared" si="0"/>
        <v>82.8</v>
      </c>
      <c r="H40" s="35"/>
      <c r="I40" s="50">
        <f t="shared" si="1"/>
        <v>82.8</v>
      </c>
      <c r="J40" s="136"/>
      <c r="K40" s="178">
        <f>F40-1634.06</f>
        <v>-1551.26</v>
      </c>
      <c r="L40" s="178">
        <f>F40/1634.06*100</f>
        <v>5.067133397794451</v>
      </c>
      <c r="M40" s="35">
        <f>E40-лютий!E40</f>
        <v>0</v>
      </c>
      <c r="N40" s="35">
        <f>F40-лютий!F40</f>
        <v>-4.8700000000000045</v>
      </c>
      <c r="O40" s="47">
        <f t="shared" si="3"/>
        <v>-4.8700000000000045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18040</v>
      </c>
      <c r="F41" s="168">
        <v>22140.95</v>
      </c>
      <c r="G41" s="43">
        <f t="shared" si="0"/>
        <v>4100.950000000001</v>
      </c>
      <c r="H41" s="35">
        <f t="shared" si="4"/>
        <v>122.73253880266076</v>
      </c>
      <c r="I41" s="50">
        <f t="shared" si="1"/>
        <v>-46359.05</v>
      </c>
      <c r="J41" s="178">
        <f t="shared" si="11"/>
        <v>32.32255474452555</v>
      </c>
      <c r="K41" s="132">
        <f>F41-19695.04</f>
        <v>2445.91</v>
      </c>
      <c r="L41" s="132">
        <f>F41/19695.04*100</f>
        <v>112.41891359448877</v>
      </c>
      <c r="M41" s="35">
        <f>E41-лютий!E41</f>
        <v>2340</v>
      </c>
      <c r="N41" s="35">
        <f>F41-лютий!F41</f>
        <v>406.40000000000146</v>
      </c>
      <c r="O41" s="47">
        <f t="shared" si="3"/>
        <v>-1933.5999999999985</v>
      </c>
      <c r="P41" s="50">
        <f t="shared" si="5"/>
        <v>17.36752136752143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1999.25</v>
      </c>
      <c r="G42" s="43">
        <f t="shared" si="0"/>
        <v>13.849999999999909</v>
      </c>
      <c r="H42" s="35">
        <f t="shared" si="4"/>
        <v>100.6975924247003</v>
      </c>
      <c r="I42" s="50">
        <f t="shared" si="1"/>
        <v>-5500.75</v>
      </c>
      <c r="J42" s="136">
        <f t="shared" si="11"/>
        <v>26.656666666666666</v>
      </c>
      <c r="K42" s="178">
        <f>F42-2603.75</f>
        <v>-604.5</v>
      </c>
      <c r="L42" s="178">
        <f>F42/2603.75*100</f>
        <v>76.78348535765723</v>
      </c>
      <c r="M42" s="35">
        <f>E42-лютий!E42</f>
        <v>0.3000000000001819</v>
      </c>
      <c r="N42" s="35">
        <f>F42-лютий!F42</f>
        <v>0.009999999999990905</v>
      </c>
      <c r="O42" s="47">
        <f t="shared" si="3"/>
        <v>-0.290000000000191</v>
      </c>
      <c r="P42" s="50">
        <f t="shared" si="5"/>
        <v>3.33333333332828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5916.6</v>
      </c>
      <c r="G48" s="44">
        <f aca="true" t="shared" si="12" ref="G48:G81">F48-E48</f>
        <v>2880.6000000000004</v>
      </c>
      <c r="H48" s="45">
        <f aca="true" t="shared" si="13" ref="H48:H59">F48/E48*100</f>
        <v>194.88142292490122</v>
      </c>
      <c r="I48" s="31">
        <f aca="true" t="shared" si="14" ref="I48:I81">F48-D48</f>
        <v>-6650.5</v>
      </c>
      <c r="J48" s="31">
        <f aca="true" t="shared" si="15" ref="J48:J66">F48/D48*100</f>
        <v>47.08007416189893</v>
      </c>
      <c r="K48" s="18">
        <f>K51+K60+K61+K62+K63+K71+K72+K73+K75+K79+K70</f>
        <v>2780.68</v>
      </c>
      <c r="L48" s="18"/>
      <c r="M48" s="18">
        <f>M51+M60+M61+M62+M63+M71+M72+M73+M75+M79+M70+M69</f>
        <v>955.5</v>
      </c>
      <c r="N48" s="18">
        <f>N51+N60+N61+N62+N63+N71+N72+N73+N75+N79+N70+N69</f>
        <v>1032.9</v>
      </c>
      <c r="O48" s="49">
        <f aca="true" t="shared" si="16" ref="O48:O81">N48-M48</f>
        <v>77.40000000000009</v>
      </c>
      <c r="P48" s="31">
        <f>N48/M48*100</f>
        <v>108.10047095761381</v>
      </c>
      <c r="Q48" s="31">
        <f>N48-1017.63</f>
        <v>15.270000000000095</v>
      </c>
      <c r="R48" s="127">
        <f>N48/1017.63</f>
        <v>1.0150054538486484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19.06</v>
      </c>
      <c r="G63" s="43">
        <f t="shared" si="12"/>
        <v>-5.940000000000001</v>
      </c>
      <c r="H63" s="35">
        <f>F63/E63*100</f>
        <v>76.24</v>
      </c>
      <c r="I63" s="50">
        <f t="shared" si="14"/>
        <v>-120.94</v>
      </c>
      <c r="J63" s="50">
        <v>10</v>
      </c>
      <c r="K63" s="50">
        <f>F63-26.77</f>
        <v>-7.710000000000001</v>
      </c>
      <c r="L63" s="50">
        <f>F63/26.77*100</f>
        <v>71.1991034740381</v>
      </c>
      <c r="M63" s="35">
        <f>E63-лютий!E63</f>
        <v>9</v>
      </c>
      <c r="N63" s="35">
        <f>F63-лютий!F63</f>
        <v>2.2300000000000004</v>
      </c>
      <c r="O63" s="47">
        <f t="shared" si="16"/>
        <v>-6.77</v>
      </c>
      <c r="P63" s="50">
        <f>N63/M63*100</f>
        <v>24.777777777777782</v>
      </c>
      <c r="Q63" s="50">
        <f>N63-9.02</f>
        <v>-6.789999999999999</v>
      </c>
      <c r="R63" s="126">
        <f>N63/9.02</f>
        <v>0.2472283813747229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E69-лютий!E69</f>
        <v>0</v>
      </c>
      <c r="N69" s="35">
        <f>F69-лютий!F69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1729.25</v>
      </c>
      <c r="G70" s="43">
        <f t="shared" si="12"/>
        <v>1729.25</v>
      </c>
      <c r="H70" s="35"/>
      <c r="I70" s="50">
        <f t="shared" si="14"/>
        <v>1729.25</v>
      </c>
      <c r="J70" s="50"/>
      <c r="K70" s="50">
        <f>F70-0</f>
        <v>1729.25</v>
      </c>
      <c r="L70" s="50"/>
      <c r="M70" s="35">
        <f>E70-лютий!E70</f>
        <v>0</v>
      </c>
      <c r="N70" s="35">
        <f>F70-лютий!F70</f>
        <v>169.77999999999997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1550.95</v>
      </c>
      <c r="G72" s="43">
        <f t="shared" si="12"/>
        <v>1320.95</v>
      </c>
      <c r="H72" s="35">
        <f>F72/E72*100</f>
        <v>674.3260869565217</v>
      </c>
      <c r="I72" s="50">
        <f t="shared" si="14"/>
        <v>450.95000000000005</v>
      </c>
      <c r="J72" s="50">
        <v>90</v>
      </c>
      <c r="K72" s="50">
        <f>F72-198.87</f>
        <v>1352.08</v>
      </c>
      <c r="L72" s="50">
        <f>F72/198.87*100</f>
        <v>779.8813295117413</v>
      </c>
      <c r="M72" s="35">
        <f>E72-лютий!E72</f>
        <v>81</v>
      </c>
      <c r="N72" s="35">
        <f>F72-лютий!F72</f>
        <v>152.48000000000002</v>
      </c>
      <c r="O72" s="47">
        <f t="shared" si="16"/>
        <v>71.48000000000002</v>
      </c>
      <c r="P72" s="50">
        <f>N72/M72*100</f>
        <v>188.24691358024694</v>
      </c>
      <c r="Q72" s="50">
        <f>N72-79.51</f>
        <v>72.97000000000001</v>
      </c>
      <c r="R72" s="126">
        <f>N72/79.51</f>
        <v>1.9177461954471138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671.54</v>
      </c>
      <c r="G75" s="43">
        <f t="shared" si="12"/>
        <v>-278.46000000000004</v>
      </c>
      <c r="H75" s="35">
        <f>F75/E75*100</f>
        <v>70.68842105263158</v>
      </c>
      <c r="I75" s="50">
        <f t="shared" si="14"/>
        <v>-3528.46</v>
      </c>
      <c r="J75" s="50">
        <f>F75/D75*100</f>
        <v>15.98904761904762</v>
      </c>
      <c r="K75" s="50">
        <f>F75-913.85</f>
        <v>-242.31000000000006</v>
      </c>
      <c r="L75" s="50">
        <f>F75/913.85*100</f>
        <v>73.48470755594462</v>
      </c>
      <c r="M75" s="35">
        <f>E75-лютий!E75</f>
        <v>300</v>
      </c>
      <c r="N75" s="35">
        <f>F75-лютий!F75</f>
        <v>81.29999999999995</v>
      </c>
      <c r="O75" s="47">
        <f t="shared" si="16"/>
        <v>-218.70000000000005</v>
      </c>
      <c r="P75" s="50">
        <f t="shared" si="20"/>
        <v>27.099999999999984</v>
      </c>
      <c r="Q75" s="50">
        <f>N75-277.38</f>
        <v>-196.08000000000004</v>
      </c>
      <c r="R75" s="126">
        <f>N75/277.38</f>
        <v>0.2930997187973176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159</v>
      </c>
      <c r="G78" s="135">
        <f t="shared" si="12"/>
        <v>159</v>
      </c>
      <c r="H78" s="137"/>
      <c r="I78" s="136">
        <f t="shared" si="14"/>
        <v>159</v>
      </c>
      <c r="J78" s="136"/>
      <c r="K78" s="136">
        <f>F78-172.57</f>
        <v>-13.569999999999993</v>
      </c>
      <c r="L78" s="138">
        <f>F78/172.57*100</f>
        <v>92.13652430897608</v>
      </c>
      <c r="M78" s="35">
        <f>E78-лютий!E78</f>
        <v>0</v>
      </c>
      <c r="N78" s="35">
        <f>F78-лютий!F78</f>
        <v>16.30000000000001</v>
      </c>
      <c r="O78" s="138">
        <f t="shared" si="16"/>
        <v>16.30000000000001</v>
      </c>
      <c r="P78" s="136"/>
      <c r="Q78" s="50">
        <f>N78-64.93</f>
        <v>-48.629999999999995</v>
      </c>
      <c r="R78" s="126">
        <f>N78/64.93</f>
        <v>0.25103958108732494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120138.19999999998</v>
      </c>
      <c r="F82" s="18">
        <f>F8+F48+F80+F81</f>
        <v>105767.53000000003</v>
      </c>
      <c r="G82" s="44">
        <f>F82-E82</f>
        <v>-14370.669999999955</v>
      </c>
      <c r="H82" s="45">
        <f>F82/E82*100</f>
        <v>88.03821765267004</v>
      </c>
      <c r="I82" s="31">
        <f>F82-D82</f>
        <v>-424255.06999999995</v>
      </c>
      <c r="J82" s="31">
        <f>F82/D82*100</f>
        <v>19.955286812298198</v>
      </c>
      <c r="K82" s="31">
        <f>K8+K48+K80+K81</f>
        <v>-10173.457999999999</v>
      </c>
      <c r="L82" s="31"/>
      <c r="M82" s="18">
        <f>M8+M48+M80+M81</f>
        <v>38945.7</v>
      </c>
      <c r="N82" s="18">
        <f>N8+N48+N80+N81</f>
        <v>9526.110000000017</v>
      </c>
      <c r="O82" s="49">
        <f>N82-M82</f>
        <v>-29419.589999999982</v>
      </c>
      <c r="P82" s="31">
        <f>N82/M82*100</f>
        <v>24.45997889369049</v>
      </c>
      <c r="Q82" s="31">
        <f>N82-34768</f>
        <v>-25241.889999999985</v>
      </c>
      <c r="R82" s="171">
        <f>N82/34768</f>
        <v>0.2739907386102168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0.09</v>
      </c>
      <c r="G90" s="43">
        <f t="shared" si="21"/>
        <v>0.09</v>
      </c>
      <c r="H90" s="35"/>
      <c r="I90" s="53">
        <f t="shared" si="22"/>
        <v>-2499.91</v>
      </c>
      <c r="J90" s="53">
        <f t="shared" si="25"/>
        <v>0.0036</v>
      </c>
      <c r="K90" s="53">
        <f>F90-518.63</f>
        <v>-518.54</v>
      </c>
      <c r="L90" s="53">
        <f>F90/518.63*100</f>
        <v>0.017353411873590036</v>
      </c>
      <c r="M90" s="35">
        <f>E90-лютий!E90</f>
        <v>0</v>
      </c>
      <c r="N90" s="35">
        <f>F90-лютий!F90</f>
        <v>0.009999999999999995</v>
      </c>
      <c r="O90" s="47">
        <f t="shared" si="23"/>
        <v>0.009999999999999995</v>
      </c>
      <c r="P90" s="53"/>
      <c r="Q90" s="53">
        <f>N90-0.04</f>
        <v>-0.030000000000000006</v>
      </c>
      <c r="R90" s="129">
        <f>N90/0.04</f>
        <v>0.24999999999999986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430.16</v>
      </c>
      <c r="G91" s="43">
        <f t="shared" si="21"/>
        <v>-107.96999999999997</v>
      </c>
      <c r="H91" s="35">
        <f t="shared" si="24"/>
        <v>79.93607492613309</v>
      </c>
      <c r="I91" s="53">
        <f t="shared" si="22"/>
        <v>-11145.84</v>
      </c>
      <c r="J91" s="53">
        <f t="shared" si="25"/>
        <v>3.7159640635798206</v>
      </c>
      <c r="K91" s="53">
        <f>F91-1143.96</f>
        <v>-713.8</v>
      </c>
      <c r="L91" s="53">
        <f>F91/1143.96*100</f>
        <v>37.602713381586774</v>
      </c>
      <c r="M91" s="35">
        <f>E91-лютий!E91</f>
        <v>182.152</v>
      </c>
      <c r="N91" s="35">
        <f>F91-лютий!F91</f>
        <v>16.04000000000002</v>
      </c>
      <c r="O91" s="47">
        <f t="shared" si="23"/>
        <v>-166.11199999999997</v>
      </c>
      <c r="P91" s="53">
        <f>N91/M91*100</f>
        <v>8.805832491545534</v>
      </c>
      <c r="Q91" s="53">
        <f>N91-450.01</f>
        <v>-433.96999999999997</v>
      </c>
      <c r="R91" s="129">
        <f>N91/450.01</f>
        <v>0.03564365236328086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-0.37</v>
      </c>
      <c r="G92" s="43">
        <f t="shared" si="21"/>
        <v>-296.57</v>
      </c>
      <c r="H92" s="35">
        <f t="shared" si="24"/>
        <v>-0.12491559756920999</v>
      </c>
      <c r="I92" s="53">
        <f t="shared" si="22"/>
        <v>-3000.37</v>
      </c>
      <c r="J92" s="53">
        <f t="shared" si="25"/>
        <v>-0.012333333333333333</v>
      </c>
      <c r="K92" s="53">
        <f>F92-463.92</f>
        <v>-464.29</v>
      </c>
      <c r="L92" s="53">
        <f>F92/463.92*100</f>
        <v>-0.07975513019486118</v>
      </c>
      <c r="M92" s="35">
        <f>E92-лютий!E92</f>
        <v>148.1</v>
      </c>
      <c r="N92" s="35">
        <f>F92-лютий!F92</f>
        <v>1.23</v>
      </c>
      <c r="O92" s="47">
        <f t="shared" si="23"/>
        <v>-146.87</v>
      </c>
      <c r="P92" s="53">
        <f>N92/M92*100</f>
        <v>0.8305199189736665</v>
      </c>
      <c r="Q92" s="53">
        <f>N92-1.05</f>
        <v>0.17999999999999994</v>
      </c>
      <c r="R92" s="129">
        <f>N92/1.05</f>
        <v>1.1714285714285713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429.88</v>
      </c>
      <c r="G93" s="55">
        <f t="shared" si="21"/>
        <v>-404.44999999999993</v>
      </c>
      <c r="H93" s="65">
        <f t="shared" si="24"/>
        <v>51.52397732312155</v>
      </c>
      <c r="I93" s="54">
        <f t="shared" si="22"/>
        <v>-16646.12</v>
      </c>
      <c r="J93" s="54">
        <f t="shared" si="25"/>
        <v>2.5174513937690324</v>
      </c>
      <c r="K93" s="54">
        <f>F93-1606.47</f>
        <v>-1176.5900000000001</v>
      </c>
      <c r="L93" s="54">
        <f>F93/1606.47*100</f>
        <v>26.759292112519994</v>
      </c>
      <c r="M93" s="55">
        <f>M90+M91+M92</f>
        <v>330.25199999999995</v>
      </c>
      <c r="N93" s="55">
        <f>N90+N91+N92</f>
        <v>17.280000000000022</v>
      </c>
      <c r="O93" s="54">
        <f t="shared" si="23"/>
        <v>-312.9719999999999</v>
      </c>
      <c r="P93" s="54">
        <f>N93/M93*100</f>
        <v>5.23236800988337</v>
      </c>
      <c r="Q93" s="54">
        <f>N93-7985.28</f>
        <v>-7968</v>
      </c>
      <c r="R93" s="173">
        <f>N93/7985.28</f>
        <v>0.002163981726376536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F97-(-0.36)</f>
        <v>0.85</v>
      </c>
      <c r="L97" s="53">
        <f>F97/(-0.36)*100</f>
        <v>-136.11111111111111</v>
      </c>
      <c r="M97" s="35">
        <f>E97-лютий!E97</f>
        <v>0</v>
      </c>
      <c r="N97" s="35">
        <f>F97-лютий!F97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0.49</v>
      </c>
      <c r="G98" s="55">
        <f>F98-E98</f>
        <v>-3.51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4</v>
      </c>
      <c r="N98" s="55">
        <f>N94+N97+N96</f>
        <v>0</v>
      </c>
      <c r="O98" s="54">
        <f>N98-M98</f>
        <v>-4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0.96</v>
      </c>
      <c r="G99" s="43">
        <f>F99-E99</f>
        <v>-10.629999999999999</v>
      </c>
      <c r="H99" s="35">
        <f>F99/E99*100</f>
        <v>8.283002588438308</v>
      </c>
      <c r="I99" s="53">
        <f>F99-D99</f>
        <v>-41.04</v>
      </c>
      <c r="J99" s="53">
        <f>F99/D99*100</f>
        <v>2.2857142857142856</v>
      </c>
      <c r="K99" s="53">
        <f>F99-10.97</f>
        <v>-10.010000000000002</v>
      </c>
      <c r="L99" s="53">
        <f>F99/10.97*100</f>
        <v>8.751139471285322</v>
      </c>
      <c r="M99" s="35">
        <f>E99-лютий!E99</f>
        <v>9</v>
      </c>
      <c r="N99" s="35">
        <f>F99-лютий!F99</f>
        <v>0</v>
      </c>
      <c r="O99" s="47">
        <f>N99-M99</f>
        <v>-9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416.68</v>
      </c>
      <c r="G100" s="44">
        <f>F100-E100</f>
        <v>-433.23999999999995</v>
      </c>
      <c r="H100" s="45">
        <f>F100/E100*100</f>
        <v>49.02579066265061</v>
      </c>
      <c r="I100" s="31">
        <f>F100-D100</f>
        <v>-16755.32</v>
      </c>
      <c r="J100" s="31">
        <f>F100/D100*100</f>
        <v>2.4265082692755646</v>
      </c>
      <c r="K100" s="31">
        <f>K88+K93+K98+K99</f>
        <v>-1202.3000000000002</v>
      </c>
      <c r="L100" s="31"/>
      <c r="M100" s="27">
        <f>M88+M99+M93+M98</f>
        <v>343.25199999999995</v>
      </c>
      <c r="N100" s="27">
        <f>N88+N99+N93+N98</f>
        <v>17.280000000000022</v>
      </c>
      <c r="O100" s="31">
        <f>N100-M100</f>
        <v>-325.9719999999999</v>
      </c>
      <c r="P100" s="31">
        <f>N100/M100*100</f>
        <v>5.034202277044278</v>
      </c>
      <c r="Q100" s="31">
        <f>N100-8104.96</f>
        <v>-8087.68</v>
      </c>
      <c r="R100" s="127">
        <f>N100/8104.96</f>
        <v>0.0021320277953253346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120988.11999999998</v>
      </c>
      <c r="F101" s="27">
        <f>F82+F100</f>
        <v>106184.21000000002</v>
      </c>
      <c r="G101" s="44">
        <f>F101-E101</f>
        <v>-14803.90999999996</v>
      </c>
      <c r="H101" s="45">
        <f>F101/E101*100</f>
        <v>87.76416229957125</v>
      </c>
      <c r="I101" s="31">
        <f>F101-D101</f>
        <v>-441010.38999999996</v>
      </c>
      <c r="J101" s="31">
        <f>F101/D101*100</f>
        <v>19.405200636117392</v>
      </c>
      <c r="K101" s="31">
        <f>K82+K100</f>
        <v>-11375.757999999998</v>
      </c>
      <c r="L101" s="31"/>
      <c r="M101" s="18">
        <f>M82+M100</f>
        <v>39288.952</v>
      </c>
      <c r="N101" s="18">
        <f>N82+N100</f>
        <v>9543.390000000018</v>
      </c>
      <c r="O101" s="31">
        <f>N101-M101</f>
        <v>-29745.56199999998</v>
      </c>
      <c r="P101" s="31">
        <f>N101/M101*100</f>
        <v>24.290263583513294</v>
      </c>
      <c r="Q101" s="31">
        <f>N101-42872.96</f>
        <v>-33329.56999999998</v>
      </c>
      <c r="R101" s="127">
        <f>N101/42872.96</f>
        <v>0.22259694688680273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17</v>
      </c>
      <c r="D103" s="4" t="s">
        <v>118</v>
      </c>
    </row>
    <row r="104" spans="2:17" ht="31.5">
      <c r="B104" s="71" t="s">
        <v>154</v>
      </c>
      <c r="C104" s="34">
        <f>IF(O82&lt;0,ABS(O82/C103),0)</f>
        <v>1730.5641176470579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42068</v>
      </c>
      <c r="D105" s="34">
        <v>2387.1</v>
      </c>
      <c r="N105" s="190"/>
      <c r="O105" s="190"/>
    </row>
    <row r="106" spans="3:15" ht="15.75">
      <c r="C106" s="111">
        <v>42067</v>
      </c>
      <c r="D106" s="34">
        <v>3270.2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42066</v>
      </c>
      <c r="D107" s="34">
        <v>1017.5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133489.74526</v>
      </c>
      <c r="E109" s="73"/>
      <c r="F109" s="156" t="s">
        <v>147</v>
      </c>
      <c r="G109" s="187" t="s">
        <v>149</v>
      </c>
      <c r="H109" s="187"/>
      <c r="I109" s="107">
        <v>124580.01305000001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226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0"/>
      <c r="O105" s="190"/>
    </row>
    <row r="106" spans="3:15" ht="15.75">
      <c r="C106" s="111">
        <v>42061</v>
      </c>
      <c r="D106" s="34">
        <v>6003.3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42060</v>
      </c>
      <c r="D107" s="34">
        <v>1551.3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f>138305956.27/1000</f>
        <v>138305.95627000002</v>
      </c>
      <c r="E109" s="73"/>
      <c r="F109" s="156" t="s">
        <v>147</v>
      </c>
      <c r="G109" s="187" t="s">
        <v>149</v>
      </c>
      <c r="H109" s="187"/>
      <c r="I109" s="107">
        <v>129396.23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2015-03-06T08:12:09Z</cp:lastPrinted>
  <dcterms:created xsi:type="dcterms:W3CDTF">2003-07-28T11:27:56Z</dcterms:created>
  <dcterms:modified xsi:type="dcterms:W3CDTF">2015-03-06T08:20:11Z</dcterms:modified>
  <cp:category/>
  <cp:version/>
  <cp:contentType/>
  <cp:contentStatus/>
</cp:coreProperties>
</file>